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X:\03-介護保険課\山本\★R6　制度改正\処遇改善\"/>
    </mc:Choice>
  </mc:AlternateContent>
  <xr:revisionPtr revIDLastSave="0" documentId="13_ncr:1_{19D552D8-90FB-4F5E-9994-FF2A7338D243}" xr6:coauthVersionLast="36" xr6:coauthVersionMax="47" xr10:uidLastSave="{00000000-0000-0000-0000-000000000000}"/>
  <bookViews>
    <workbookView xWindow="30210" yWindow="360" windowWidth="26910" windowHeight="14985"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l="1"/>
  <c r="L49" i="46"/>
  <c r="L49" i="45"/>
  <c r="L49" i="44"/>
  <c r="L49" i="43"/>
  <c r="L49" i="42"/>
  <c r="G49" i="41" l="1"/>
  <c r="L49" i="41"/>
  <c r="L49" i="40"/>
  <c r="L49" i="39"/>
  <c r="L49"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50" i="39"/>
  <c r="G49"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50" i="41"/>
  <c r="AS48" i="41"/>
  <c r="BE48" i="41" s="1"/>
  <c r="AC49" i="41" s="1"/>
  <c r="AC50" i="41" s="1"/>
  <c r="AW59" i="41"/>
  <c r="CI10" i="41"/>
  <c r="AS63" i="41"/>
  <c r="AS44" i="41" s="1"/>
  <c r="CI6" i="41"/>
  <c r="AS61" i="41"/>
  <c r="AS36" i="41" s="1"/>
  <c r="AS59" i="41"/>
  <c r="CI7" i="41"/>
  <c r="CI9" i="41"/>
  <c r="AS62" i="41"/>
  <c r="AS40" i="41" s="1"/>
  <c r="CI3" i="41"/>
  <c r="Q50" i="41"/>
  <c r="BV51" i="41"/>
  <c r="AW60" i="41"/>
  <c r="AS60"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50" i="38" l="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50" i="12"/>
  <c r="AW51" i="12" s="1"/>
  <c r="CI7" i="12"/>
  <c r="S143" i="18" s="1"/>
  <c r="AK225" i="18" s="1"/>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CI4" i="12"/>
  <c r="AS24" i="12"/>
  <c r="BE48" i="12"/>
  <c r="AC49" i="12" s="1"/>
  <c r="Q51" i="12"/>
  <c r="Q52" i="12" s="1"/>
  <c r="L51" i="12"/>
  <c r="S118" i="18" l="1"/>
  <c r="AK125" i="18" s="1"/>
  <c r="AI95" i="18"/>
  <c r="AI93" i="18"/>
  <c r="AM129" i="18"/>
  <c r="AK134" i="18" s="1"/>
  <c r="AK224" i="18" s="1"/>
  <c r="V50" i="12"/>
  <c r="G51" i="12"/>
  <c r="V51" i="12" s="1"/>
  <c r="L52" i="12"/>
  <c r="AC50" i="12"/>
  <c r="BE51" i="12" s="1"/>
  <c r="AK223" i="18" l="1"/>
  <c r="T106" i="18"/>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<sst xmlns="http://schemas.openxmlformats.org/spreadsheetml/2006/main" count="6878" uniqueCount="2437">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</sst>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41"/>
              <a:chExt cx="303832" cy="486919"/>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4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5"/>
              <a:chExt cx="301792" cy="780095"/>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7"/>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65"/>
              <a:chExt cx="301792" cy="49479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65"/>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78"/>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0"/>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5" y="8168761"/>
              <a:chExt cx="217586"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8" y="8168761"/>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5" y="872307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3" y="8166025"/>
              <a:chExt cx="208649" cy="749803"/>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3" y="816602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3" y="864071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004D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014D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024D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31"/>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902"/>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14"/>
              <a:chExt cx="301792" cy="494788"/>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7"/>
              <a:chExt cx="308371" cy="77925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0" y="8168784"/>
              <a:chExt cx="217590" cy="792431"/>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84" y="8166072"/>
              <a:chExt cx="208607" cy="749771"/>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31"/>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902"/>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14"/>
              <a:chExt cx="301792" cy="494788"/>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7"/>
              <a:chExt cx="308371" cy="77925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0" y="8168784"/>
              <a:chExt cx="217590" cy="792431"/>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84" y="8166072"/>
              <a:chExt cx="208607" cy="749771"/>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31"/>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902"/>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14"/>
              <a:chExt cx="301792" cy="494788"/>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7"/>
              <a:chExt cx="308371" cy="77925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0" y="8168784"/>
              <a:chExt cx="217590" cy="792431"/>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84" y="8166072"/>
              <a:chExt cx="208607" cy="749771"/>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30"/>
              <a:ext cx="304800" cy="714368"/>
              <a:chOff x="4479758" y="4496302"/>
              <a:chExt cx="301792" cy="780031"/>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2"/>
              <a:ext cx="304800" cy="698098"/>
              <a:chOff x="4549825" y="5456606"/>
              <a:chExt cx="308371" cy="762902"/>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5"/>
              <a:ext cx="304800" cy="371461"/>
              <a:chOff x="5763126" y="8931914"/>
              <a:chExt cx="301792" cy="494788"/>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4"/>
              <a:chOff x="4549825" y="6438937"/>
              <a:chExt cx="308371" cy="77925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0" y="8154126"/>
              <a:ext cx="220581" cy="694591"/>
              <a:chOff x="5767610" y="8168784"/>
              <a:chExt cx="217590" cy="792431"/>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6" y="8146761"/>
              <a:ext cx="200248" cy="744730"/>
              <a:chOff x="4538984" y="8166072"/>
              <a:chExt cx="208607" cy="749771"/>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60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2"/>
              <a:chExt cx="301792" cy="780031"/>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902"/>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14"/>
              <a:chExt cx="301792" cy="494788"/>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7"/>
              <a:chExt cx="308371" cy="77925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0" y="8168784"/>
              <a:chExt cx="217590" cy="792431"/>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84" y="8166072"/>
              <a:chExt cx="208607" cy="749771"/>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2"/>
              <a:chExt cx="301792" cy="780031"/>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902"/>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14"/>
              <a:chExt cx="301792" cy="494788"/>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7"/>
              <a:chExt cx="308371" cy="77925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0" y="8168784"/>
              <a:chExt cx="217590" cy="792431"/>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84" y="8166072"/>
              <a:chExt cx="208607" cy="749771"/>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2"/>
              <a:chExt cx="301792" cy="780031"/>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902"/>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14"/>
              <a:chExt cx="301792" cy="494788"/>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7"/>
              <a:chExt cx="308371" cy="77925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0" y="8168784"/>
              <a:chExt cx="217590" cy="792431"/>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84" y="8166072"/>
              <a:chExt cx="208607" cy="749771"/>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2"/>
              <a:chExt cx="301792" cy="780031"/>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902"/>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14"/>
              <a:chExt cx="301792" cy="494788"/>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7"/>
              <a:chExt cx="308371" cy="77925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0" y="8168784"/>
              <a:chExt cx="217590" cy="792431"/>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84" y="8166072"/>
              <a:chExt cx="208607" cy="749771"/>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5"/>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6"/>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5"/>
              <a:chExt cx="301792" cy="780067"/>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5"/>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1"/>
              <a:chExt cx="308371" cy="762875"/>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56"/>
              <a:chExt cx="301792" cy="494773"/>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5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2" y="8168782"/>
              <a:chExt cx="217624" cy="792523"/>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9" y="8168782"/>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43" y="8166013"/>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83" y="8166013"/>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43" y="8640728"/>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26" y="7305238"/>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6" y="7305238"/>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1" y="7775526"/>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election activeCell="AA25" sqref="AA25:AA28"/>
    </sheetView>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537">
        <v>100</v>
      </c>
      <c r="J8" s="537"/>
      <c r="K8" s="268" t="s">
        <v>2385</v>
      </c>
      <c r="L8" s="537">
        <v>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963" t="s">
        <v>2382</v>
      </c>
      <c r="M13" s="964"/>
      <c r="N13" s="964"/>
      <c r="O13" s="964"/>
      <c r="P13" s="964"/>
      <c r="Q13" s="964"/>
      <c r="R13" s="964"/>
      <c r="S13" s="964"/>
      <c r="T13" s="964"/>
      <c r="U13" s="965"/>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13860620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5292094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11660620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3092094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
        <v>2422</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
        <v>2422</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topLeftCell="A28"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2291</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1334567890</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11.4</v>
      </c>
      <c r="Q5" s="1128"/>
      <c r="R5" s="1128"/>
      <c r="S5" s="1129" t="s">
        <v>7</v>
      </c>
      <c r="T5" s="1130"/>
      <c r="U5" s="1130"/>
      <c r="V5" s="1130"/>
      <c r="W5" s="1130"/>
      <c r="X5" s="1131"/>
      <c r="Y5" s="1145" t="s">
        <v>260</v>
      </c>
      <c r="Z5" s="1145"/>
      <c r="AA5" s="1145"/>
      <c r="AB5" s="1145"/>
      <c r="AC5" s="1145"/>
      <c r="AD5" s="1145"/>
      <c r="AE5" s="1151">
        <v>225000</v>
      </c>
      <c r="AF5" s="1152"/>
      <c r="AG5" s="1152"/>
      <c r="AH5" s="1153"/>
      <c r="AI5" s="1151">
        <v>40000</v>
      </c>
      <c r="AJ5" s="1152"/>
      <c r="AK5" s="1152"/>
      <c r="AL5" s="1153"/>
      <c r="AM5" s="1154">
        <f>AE5-AI5</f>
        <v>185000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補助金を取得する場合、４月からベア加算の算定が必要。その場合、６月以降は自然と新加算Ⅱに移行可能。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9</v>
      </c>
      <c r="C9" s="1094"/>
      <c r="D9" s="1094"/>
      <c r="E9" s="1094"/>
      <c r="F9" s="1095"/>
      <c r="G9" s="1096" t="s">
        <v>10</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0.224</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0.13700000000000001</v>
      </c>
      <c r="C10" s="1103"/>
      <c r="D10" s="1103"/>
      <c r="E10" s="1103"/>
      <c r="F10" s="1104"/>
      <c r="G10" s="1102">
        <f>IFERROR(VLOOKUP(Y5,【参考】数式用!$A$5:$J$27,MATCH(G9,【参考】数式用!$B$4:$J$4,0)+1,0),"")</f>
        <v>4.2000000000000003E-2</v>
      </c>
      <c r="H10" s="1103"/>
      <c r="I10" s="1103"/>
      <c r="J10" s="1103"/>
      <c r="K10" s="1104"/>
      <c r="L10" s="1102">
        <f>IFERROR(VLOOKUP(Y5,【参考】数式用!$A$5:$J$27,MATCH(L9,【参考】数式用!$B$4:$J$4,0)+1,0),"")</f>
        <v>0</v>
      </c>
      <c r="M10" s="1103"/>
      <c r="N10" s="1103"/>
      <c r="O10" s="1103"/>
      <c r="P10" s="1104"/>
      <c r="Q10" s="1017">
        <f>SUM(B10,G10,L10)</f>
        <v>0.17900000000000002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新加算Ⅴ(３)</v>
      </c>
      <c r="W11" s="1122"/>
      <c r="X11" s="1122"/>
      <c r="Y11" s="1122"/>
      <c r="Z11" s="1122"/>
      <c r="AA11" s="1147" t="str">
        <f>IFERROR(VLOOKUP(AS1,【参考】数式用2!E6:L23,6,FALSE),"")</f>
        <v>４月からベア加算を算定せず、６月から月額賃金改善要件Ⅱも満たさない場合、Ⅴ(３)となる。なお、R7年度以降は月額賃金改善要件Ⅱが必要。</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0.2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f>IFERROR(VLOOKUP(AS1,【参考】数式用2!E6:L23,8,FALSE),"")</f>
        <v>0</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2223</v>
      </c>
      <c r="C40" s="1042"/>
      <c r="D40" s="1042"/>
      <c r="E40" s="1042"/>
      <c r="F40" s="1042"/>
      <c r="G40" s="1043" t="str">
        <f>IFERROR(VLOOKUP(Y5,【参考】数式用!AS5:AT27,2,0),"")</f>
        <v>　特定事業所加算ⅠまたはⅡを算定する。</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IFERROR(IF(G9="","",IF(AND(AH61=1,AH62=1,AH63=1),"特定加算Ⅰ",IF(AND(AH61=1,AH62=2,AH63=1),"特定加算Ⅱ",IF(OR(AH61=2,AH62=2,AH63=2),"特定加算なし","")))),"")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0.13700000000000001</v>
      </c>
      <c r="H50" s="1084"/>
      <c r="I50" s="1084"/>
      <c r="J50" s="1084"/>
      <c r="K50" s="1085"/>
      <c r="L50" s="1083">
        <f>IFERROR(VLOOKUP(Y5,【参考】数式用!$A$5:$J$27,MATCH(L49,【参考】数式用!$B$4:$J$4,0)+1,0),"")</f>
        <v>4.2000000000000003E-2</v>
      </c>
      <c r="M50" s="1084"/>
      <c r="N50" s="1084"/>
      <c r="O50" s="1084"/>
      <c r="P50" s="1086"/>
      <c r="Q50" s="1087">
        <f>IFERROR(VLOOKUP(Y5,【参考】数式用!$A$5:$J$27,MATCH(Q49,【参考】数式用!$B$4:$J$4,0)+1,0),"")</f>
        <v>2.4E-2</v>
      </c>
      <c r="R50" s="1084"/>
      <c r="S50" s="1084"/>
      <c r="T50" s="1084"/>
      <c r="U50" s="1086"/>
      <c r="V50" s="1017">
        <f>SUM(G50,L50,Q50)</f>
        <v>0.20300000000000001</v>
      </c>
      <c r="W50" s="1018"/>
      <c r="X50" s="1018"/>
      <c r="Y50" s="1018"/>
      <c r="Z50" s="1018"/>
      <c r="AA50" s="1024"/>
      <c r="AB50" s="1024"/>
      <c r="AC50" s="1019">
        <f>IFERROR(VLOOKUP(Y5,【参考】数式用!$A$5:$AB$27,MATCH(AC49,【参考】数式用!$B$4:$AB$4,0)+1,FALSE),"")</f>
        <v>0.224</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577866</v>
      </c>
      <c r="H51" s="1011"/>
      <c r="I51" s="1011"/>
      <c r="J51" s="1011"/>
      <c r="K51" s="148" t="s">
        <v>2289</v>
      </c>
      <c r="L51" s="1066">
        <f>IFERROR(ROUNDDOWN(ROUND(AM5*L50,0)*P5,0)*H53,"")</f>
        <v>177156</v>
      </c>
      <c r="M51" s="1011"/>
      <c r="N51" s="1011"/>
      <c r="O51" s="1011"/>
      <c r="P51" s="148" t="s">
        <v>2289</v>
      </c>
      <c r="Q51" s="1066">
        <f>IFERROR(ROUNDDOWN(ROUND(AM5*Q50,0)*P5,0)*H53,"")</f>
        <v>101232</v>
      </c>
      <c r="R51" s="1011"/>
      <c r="S51" s="1011"/>
      <c r="T51" s="1011"/>
      <c r="U51" s="149" t="s">
        <v>2289</v>
      </c>
      <c r="V51" s="1067">
        <f>IFERROR(SUM(G51,L51,Q51),"")</f>
        <v>856254</v>
      </c>
      <c r="W51" s="1068"/>
      <c r="X51" s="1068"/>
      <c r="Y51" s="1068"/>
      <c r="Z51" s="150" t="s">
        <v>2289</v>
      </c>
      <c r="AB51" s="151"/>
      <c r="AC51" s="1066">
        <f>IFERROR(ROUNDDOWN(ROUND(AM5*AC50,0)*P5,0)*AD53,"")</f>
        <v>4724160</v>
      </c>
      <c r="AD51" s="1011"/>
      <c r="AE51" s="1011"/>
      <c r="AF51" s="1011"/>
      <c r="AG51" s="1011"/>
      <c r="AH51" s="149" t="s">
        <v>2289</v>
      </c>
      <c r="AS51" s="1014">
        <f>IFERROR(ROUNDDOWN(ROUND(AM5*(G50-B10),0)*P5,0)*H53,"")</f>
        <v>0</v>
      </c>
      <c r="AT51" s="1014"/>
      <c r="AU51" s="1014"/>
      <c r="AV51" s="1014"/>
      <c r="AW51" s="1014">
        <f>IFERROR(ROUNDDOWN(ROUND(AM5*(L50-G10),0)*P5,0)*H53,"")</f>
        <v>0</v>
      </c>
      <c r="AX51" s="1014"/>
      <c r="AY51" s="1014"/>
      <c r="AZ51" s="1014"/>
      <c r="BA51" s="1014">
        <f>IFERROR(ROUNDDOWN(ROUND(AM5*(Q50-L10),0)*P5,0)*H53,"")</f>
        <v>101232</v>
      </c>
      <c r="BB51" s="1014"/>
      <c r="BC51" s="1014"/>
      <c r="BD51" s="1014"/>
      <c r="BE51" s="1014">
        <f>IFERROR(ROUNDDOWN(ROUND(AM5*(AC50-Q10),0)*P5,0)*AD53,"")</f>
        <v>949050</v>
      </c>
      <c r="BF51" s="1014"/>
      <c r="BG51" s="1014"/>
      <c r="BH51" s="1014"/>
      <c r="BI51" s="1014">
        <f>SUM(AS51:BH51)</f>
        <v>1050282</v>
      </c>
      <c r="BJ51" s="1014"/>
      <c r="BK51" s="1014"/>
      <c r="BL51" s="1014"/>
      <c r="BM51" s="241"/>
      <c r="BN51" s="1014">
        <f>IFERROR(ROUNDDOWN(ROUNDDOWN(ROUND(AM5*(VLOOKUP(Y5,【参考】数式用!$A$5:$AB$27,14,FALSE)),0)*P5,0)*AD53*0.5,0),"")</f>
        <v>1529025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(288,933円/月)</v>
      </c>
      <c r="H52" s="1013"/>
      <c r="I52" s="1013"/>
      <c r="J52" s="1013"/>
      <c r="K52" s="1013"/>
      <c r="L52" s="1013" t="str">
        <f>IFERROR("("&amp;TEXT(L51/H53,"#,##0円")&amp;"/月)","")</f>
        <v>(88,578円/月)</v>
      </c>
      <c r="M52" s="1013"/>
      <c r="N52" s="1013"/>
      <c r="O52" s="1013"/>
      <c r="P52" s="1013"/>
      <c r="Q52" s="1013" t="str">
        <f>IFERROR("("&amp;TEXT(Q51/H53,"#,##0円")&amp;"/月)","")</f>
        <v>(50,616円/月)</v>
      </c>
      <c r="R52" s="1013"/>
      <c r="S52" s="1013"/>
      <c r="T52" s="1013"/>
      <c r="U52" s="1013"/>
      <c r="V52" s="1013" t="str">
        <f>IFERROR("("&amp;TEXT(V51/H53,"#,##0円")&amp;"/月)","")</f>
        <v>(428,127円/月)</v>
      </c>
      <c r="W52" s="1013"/>
      <c r="X52" s="1013"/>
      <c r="Y52" s="1013"/>
      <c r="Z52" s="1013"/>
      <c r="AB52" s="151"/>
      <c r="AC52" s="1165" t="str">
        <f>IFERROR("("&amp;TEXT(AC51/AD53,"#,##0円")&amp;"/月)","")</f>
        <v>(472,416円/月)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252">
        <f>IF(AND(B9&lt;&gt;"処遇加算なし",F15=4),IF(V21="✓",1,IF(V22="✓",2,"")),"")</f>
        <v>2</v>
      </c>
      <c r="AA57" s="245"/>
      <c r="AB57" s="249"/>
      <c r="AC57" s="1015" t="s">
        <v>2203</v>
      </c>
      <c r="AD57" s="1015"/>
      <c r="AE57" s="1015"/>
      <c r="AF57" s="1015"/>
      <c r="AG57" s="1015"/>
      <c r="AH57" s="170">
        <v>1</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252">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252">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252">
        <f>IF(AND(B9&lt;&gt;"処遇加算なし",F15=4),IF(V32="✓",1,IF(V33="✓",2,"")),"")</f>
        <v>1</v>
      </c>
      <c r="AA60" s="245"/>
      <c r="AB60" s="249"/>
      <c r="AC60" s="1139" t="s">
        <v>2206</v>
      </c>
      <c r="AD60" s="1139"/>
      <c r="AE60" s="1139"/>
      <c r="AF60" s="1139"/>
      <c r="AG60" s="1139"/>
      <c r="AH60" s="170">
        <v>1</v>
      </c>
      <c r="AI60" s="253"/>
      <c r="AJ60" s="249"/>
      <c r="AK60" s="1139" t="s">
        <v>2206</v>
      </c>
      <c r="AL60" s="1139"/>
      <c r="AM60" s="1139"/>
      <c r="AN60" s="1139"/>
      <c r="AO60" s="1139"/>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252">
        <f>IF(AND(B9&lt;&gt;"処遇加算なし",F15=4),IF(V36="✓",1,IF(V37="✓",2,"")),"")</f>
        <v>1</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252">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252">
        <f>IF(AND(B9&lt;&gt;"処遇加算なし",F15=4),IF(V44="✓",1,IF(V45="✓",2,"")),"")</f>
        <v>1</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JTGiBlQ3+9UMJfZ4cRUb0JnKqGXHjq+nr8kKCN6eMj/RMMxGJBRI1SY1HmA1tr0JycPh83+wcO/nqHRjSl0gQ==" saltValue="vwi8rDK1igtQyUekOioWWg=="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topLeftCell="A37"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2423</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1334567891</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2431</v>
      </c>
      <c r="T5" s="1130"/>
      <c r="U5" s="1130"/>
      <c r="V5" s="1130"/>
      <c r="W5" s="1130"/>
      <c r="X5" s="1131"/>
      <c r="Y5" s="1145" t="s">
        <v>281</v>
      </c>
      <c r="Z5" s="1145"/>
      <c r="AA5" s="1145"/>
      <c r="AB5" s="1145"/>
      <c r="AC5" s="1145"/>
      <c r="AD5" s="1145"/>
      <c r="AE5" s="1151">
        <v>385000</v>
      </c>
      <c r="AF5" s="1152"/>
      <c r="AG5" s="1152"/>
      <c r="AH5" s="1153"/>
      <c r="AI5" s="1151">
        <v>80000</v>
      </c>
      <c r="AJ5" s="1152"/>
      <c r="AK5" s="1152"/>
      <c r="AL5" s="1153"/>
      <c r="AM5" s="1154">
        <f>AE5-AI5</f>
        <v>305000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267</v>
      </c>
      <c r="C9" s="1094"/>
      <c r="D9" s="1094"/>
      <c r="E9" s="1094"/>
      <c r="F9" s="1095"/>
      <c r="G9" s="1096" t="s">
        <v>13</v>
      </c>
      <c r="H9" s="1097"/>
      <c r="I9" s="1097"/>
      <c r="J9" s="1097"/>
      <c r="K9" s="1098"/>
      <c r="L9" s="1099" t="s">
        <v>15</v>
      </c>
      <c r="M9" s="1100"/>
      <c r="N9" s="1100"/>
      <c r="O9" s="1100"/>
      <c r="P9" s="1101"/>
      <c r="Q9" s="1088" t="s">
        <v>2200</v>
      </c>
      <c r="R9" s="1089"/>
      <c r="S9" s="1089"/>
      <c r="T9" s="1022"/>
      <c r="U9" s="1023"/>
      <c r="V9" s="1135">
        <f>IFERROR(VLOOKUP(Y5,【参考】数式用!$A$5:$AB$27,MATCH(V8,【参考】数式用!$B$4:$AB$4,0)+1,FALSE),"")</f>
        <v>8.9999999999999983E-2</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4.2999999999999997E-2</v>
      </c>
      <c r="C10" s="1103"/>
      <c r="D10" s="1103"/>
      <c r="E10" s="1103"/>
      <c r="F10" s="1104"/>
      <c r="G10" s="1102">
        <f>IFERROR(VLOOKUP(Y5,【参考】数式用!$A$5:$J$27,MATCH(G9,【参考】数式用!$B$4:$J$4,0)+1,0),"")</f>
        <v>0</v>
      </c>
      <c r="H10" s="1103"/>
      <c r="I10" s="1103"/>
      <c r="J10" s="1103"/>
      <c r="K10" s="1104"/>
      <c r="L10" s="1102">
        <f>IFERROR(VLOOKUP(Y5,【参考】数式用!$A$5:$J$27,MATCH(L9,【参考】数式用!$B$4:$J$4,0)+1,0),"")</f>
        <v>1.0999999999999999E-2</v>
      </c>
      <c r="M10" s="1103"/>
      <c r="N10" s="1103"/>
      <c r="O10" s="1103"/>
      <c r="P10" s="1104"/>
      <c r="Q10" s="1017">
        <f>SUM(B10,G10,L10)</f>
        <v>5.3999999999999992E-2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新加算Ⅲ</v>
      </c>
      <c r="W11" s="1122"/>
      <c r="X11" s="1122"/>
      <c r="Y11" s="1122"/>
      <c r="Z11" s="1122"/>
      <c r="AA11" s="1147" t="str">
        <f>IFERROR(VLOOKUP(AS1,【参考】数式用2!E6:L23,6,FALSE),"")</f>
        <v>キャリアパス要件Ⅲを「R6年度中の対応の誓約」で満たし、４月から旧処遇加算Ⅰを算定可。その場合、６月以降は自然と新加算Ⅲに移行可能。</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7.9999999999999988E-2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新加算Ⅳ</v>
      </c>
      <c r="W14" s="1122"/>
      <c r="X14" s="1122"/>
      <c r="Y14" s="1122"/>
      <c r="Z14" s="1122"/>
      <c r="AA14" s="1157"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6.3999999999999987E-2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t="s">
        <v>2271</v>
      </c>
      <c r="AE41" s="1048"/>
      <c r="AF41" s="1048"/>
      <c r="AG41" s="1048"/>
      <c r="AH41" s="1049"/>
      <c r="AI41" s="1022"/>
      <c r="AJ41" s="1023"/>
      <c r="AK41" s="234" t="s">
        <v>90</v>
      </c>
      <c r="AL41" s="1047" t="s">
        <v>2271</v>
      </c>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IFERROR(IF(G9="","",IF(AND(AH61=1,AH62=1,AH63=1),"特定加算Ⅰ",IF(AND(AH61=1,AH62=2,AH63=1),"特定加算Ⅱ",IF(OR(AH61=2,AH62=2,AH63=2),"特定加算なし","")))),"")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5.8999999999999997E-2</v>
      </c>
      <c r="H50" s="1084"/>
      <c r="I50" s="1084"/>
      <c r="J50" s="1084"/>
      <c r="K50" s="1085"/>
      <c r="L50" s="1083">
        <f>IFERROR(VLOOKUP(Y5,【参考】数式用!$A$5:$J$27,MATCH(L49,【参考】数式用!$B$4:$J$4,0)+1,0),"")</f>
        <v>0.01</v>
      </c>
      <c r="M50" s="1084"/>
      <c r="N50" s="1084"/>
      <c r="O50" s="1084"/>
      <c r="P50" s="1086"/>
      <c r="Q50" s="1087">
        <f>IFERROR(VLOOKUP(Y5,【参考】数式用!$A$5:$J$27,MATCH(Q49,【参考】数式用!$B$4:$J$4,0)+1,0),"")</f>
        <v>1.0999999999999999E-2</v>
      </c>
      <c r="R50" s="1084"/>
      <c r="S50" s="1084"/>
      <c r="T50" s="1084"/>
      <c r="U50" s="1086"/>
      <c r="V50" s="1017">
        <f>SUM(G50,L50,Q50)</f>
        <v>7.9999999999999988E-2</v>
      </c>
      <c r="W50" s="1018"/>
      <c r="X50" s="1018"/>
      <c r="Y50" s="1018"/>
      <c r="Z50" s="1018"/>
      <c r="AA50" s="1024"/>
      <c r="AB50" s="1024"/>
      <c r="AC50" s="1019">
        <f>IFERROR(VLOOKUP(Y5,【参考】数式用!$A$5:$AB$27,MATCH(AC49,【参考】数式用!$B$4:$AB$4,0)+1,FALSE),"")</f>
        <v>8.9999999999999983E-2</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392290</v>
      </c>
      <c r="H51" s="1011"/>
      <c r="I51" s="1011"/>
      <c r="J51" s="1011"/>
      <c r="K51" s="148" t="s">
        <v>2289</v>
      </c>
      <c r="L51" s="1066">
        <f>IFERROR(ROUNDDOWN(ROUND(AM5*L50,0)*P5,0)*H53,"")</f>
        <v>66490</v>
      </c>
      <c r="M51" s="1011"/>
      <c r="N51" s="1011"/>
      <c r="O51" s="1011"/>
      <c r="P51" s="148" t="s">
        <v>2289</v>
      </c>
      <c r="Q51" s="1066">
        <f>IFERROR(ROUNDDOWN(ROUND(AM5*Q50,0)*P5,0)*H53,"")</f>
        <v>73138</v>
      </c>
      <c r="R51" s="1011"/>
      <c r="S51" s="1011"/>
      <c r="T51" s="1011"/>
      <c r="U51" s="149" t="s">
        <v>2289</v>
      </c>
      <c r="V51" s="1067">
        <f>IFERROR(SUM(G51,L51,Q51),"")</f>
        <v>531918</v>
      </c>
      <c r="W51" s="1068"/>
      <c r="X51" s="1068"/>
      <c r="Y51" s="1068"/>
      <c r="Z51" s="150" t="s">
        <v>2289</v>
      </c>
      <c r="AB51" s="151"/>
      <c r="AC51" s="1066">
        <f>IFERROR(ROUNDDOWN(ROUND(AM5*AC50,0)*P5,0)*AD53,"")</f>
        <v>2992050</v>
      </c>
      <c r="AD51" s="1011"/>
      <c r="AE51" s="1011"/>
      <c r="AF51" s="1011"/>
      <c r="AG51" s="1011"/>
      <c r="AH51" s="149" t="s">
        <v>2289</v>
      </c>
      <c r="AS51" s="1014">
        <f>IFERROR(ROUNDDOWN(ROUND(AM5*(G50-B10),0)*P5,0)*H53,"")</f>
        <v>106384</v>
      </c>
      <c r="AT51" s="1014"/>
      <c r="AU51" s="1014"/>
      <c r="AV51" s="1014"/>
      <c r="AW51" s="1014">
        <f>IFERROR(ROUNDDOWN(ROUND(AM5*(L50-G10),0)*P5,0)*H53,"")</f>
        <v>66490</v>
      </c>
      <c r="AX51" s="1014"/>
      <c r="AY51" s="1014"/>
      <c r="AZ51" s="1014"/>
      <c r="BA51" s="1014">
        <f>IFERROR(ROUNDDOWN(ROUND(AM5*(Q50-L10),0)*P5,0)*H53,"")</f>
        <v>0</v>
      </c>
      <c r="BB51" s="1014"/>
      <c r="BC51" s="1014"/>
      <c r="BD51" s="1014"/>
      <c r="BE51" s="1014">
        <f>IFERROR(ROUNDDOWN(ROUND(AM5*(AC50-Q10),0)*P5,0)*AD53,"")</f>
        <v>1196820</v>
      </c>
      <c r="BF51" s="1014"/>
      <c r="BG51" s="1014"/>
      <c r="BH51" s="1014"/>
      <c r="BI51" s="1014">
        <f>SUM(AS51:BH51)</f>
        <v>1369694</v>
      </c>
      <c r="BJ51" s="1014"/>
      <c r="BK51" s="1014"/>
      <c r="BL51" s="1014"/>
      <c r="BM51" s="241"/>
      <c r="BN51" s="1014">
        <f>IFERROR(ROUNDDOWN(ROUNDDOWN(ROUND(AM5*(VLOOKUP(Y5,【参考】数式用!$A$5:$AB$27,14,FALSE)),0)*P5,0)*AD53*0.5,0),"")</f>
        <v>1063840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(196,145円/月)</v>
      </c>
      <c r="H52" s="1013"/>
      <c r="I52" s="1013"/>
      <c r="J52" s="1013"/>
      <c r="K52" s="1013"/>
      <c r="L52" s="1013" t="str">
        <f>IFERROR("("&amp;TEXT(L51/H53,"#,##0円")&amp;"/月)","")</f>
        <v>(33,245円/月)</v>
      </c>
      <c r="M52" s="1013"/>
      <c r="N52" s="1013"/>
      <c r="O52" s="1013"/>
      <c r="P52" s="1013"/>
      <c r="Q52" s="1013" t="str">
        <f>IFERROR("("&amp;TEXT(Q51/H53,"#,##0円")&amp;"/月)","")</f>
        <v>(36,569円/月)</v>
      </c>
      <c r="R52" s="1013"/>
      <c r="S52" s="1013"/>
      <c r="T52" s="1013"/>
      <c r="U52" s="1013"/>
      <c r="V52" s="1013" t="str">
        <f>IFERROR("("&amp;TEXT(V51/H53,"#,##0円")&amp;"/月)","")</f>
        <v>(265,959円/月)</v>
      </c>
      <c r="W52" s="1013"/>
      <c r="X52" s="1013"/>
      <c r="Y52" s="1013"/>
      <c r="Z52" s="1013"/>
      <c r="AB52" s="151"/>
      <c r="AC52" s="1165" t="str">
        <f>IFERROR("("&amp;TEXT(AC51/AD53,"#,##0円")&amp;"/月)","")</f>
        <v>(299,205円/月)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527">
        <f>IF(AND(B9&lt;&gt;"処遇加算なし",F15=4),IF(V21="✓",1,IF(V22="✓",2,"")),"")</f>
        <v>1</v>
      </c>
      <c r="AA57" s="245"/>
      <c r="AB57" s="249"/>
      <c r="AC57" s="1015" t="s">
        <v>2203</v>
      </c>
      <c r="AD57" s="1015"/>
      <c r="AE57" s="1015"/>
      <c r="AF57" s="1015"/>
      <c r="AG57" s="1015"/>
      <c r="AH57" s="170">
        <v>0</v>
      </c>
      <c r="AI57" s="253"/>
      <c r="AJ57" s="249"/>
      <c r="AK57" s="1015" t="s">
        <v>2203</v>
      </c>
      <c r="AL57" s="1015"/>
      <c r="AM57" s="1015"/>
      <c r="AN57" s="1015"/>
      <c r="AO57" s="1015"/>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527">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527">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527">
        <f>IF(AND(B9&lt;&gt;"処遇加算なし",F15=4),IF(V32="✓",1,IF(V33="✓",2,"")),"")</f>
        <v>2</v>
      </c>
      <c r="AA60" s="245"/>
      <c r="AB60" s="249"/>
      <c r="AC60" s="1139" t="s">
        <v>2206</v>
      </c>
      <c r="AD60" s="1139"/>
      <c r="AE60" s="1139"/>
      <c r="AF60" s="1139"/>
      <c r="AG60" s="1139"/>
      <c r="AH60" s="170">
        <v>2</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527">
        <f>IF(AND(B9&lt;&gt;"処遇加算なし",F15=4),IF(V36="✓",1,IF(V37="✓",2,"")),"")</f>
        <v>2</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527">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527">
        <f>IF(AND(B9&lt;&gt;"処遇加算なし",F15=4),IF(V44="✓",1,IF(V45="✓",2,"")),"")</f>
        <v>2</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n6CLevlgLIWmAslrjuqFo2Czog8//FWCYsKpP5je4aXk91NjaM1+Tp72D0/nCr6RA8feOglklqj3ht8yMCEVg==" saltValue="z8FzCD8MIplhvf863JJJS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2432</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千代田区・中央区・港区</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1334567892</v>
      </c>
      <c r="C5" s="1123"/>
      <c r="D5" s="1123"/>
      <c r="E5" s="1123"/>
      <c r="F5" s="1123"/>
      <c r="G5" s="1124" t="s">
        <v>2436</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2435</v>
      </c>
      <c r="T5" s="1130"/>
      <c r="U5" s="1130"/>
      <c r="V5" s="1130"/>
      <c r="W5" s="1130"/>
      <c r="X5" s="1131"/>
      <c r="Y5" s="1145" t="s">
        <v>284</v>
      </c>
      <c r="Z5" s="1145"/>
      <c r="AA5" s="1145"/>
      <c r="AB5" s="1145"/>
      <c r="AC5" s="1145"/>
      <c r="AD5" s="1145"/>
      <c r="AE5" s="1151">
        <v>325000</v>
      </c>
      <c r="AF5" s="1152"/>
      <c r="AG5" s="1152"/>
      <c r="AH5" s="1153"/>
      <c r="AI5" s="1151">
        <v>0</v>
      </c>
      <c r="AJ5" s="1152"/>
      <c r="AK5" s="1152"/>
      <c r="AL5" s="1153"/>
      <c r="AM5" s="1154">
        <f>AE5-AI5</f>
        <v>325000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533">
        <v>10</v>
      </c>
      <c r="G15" s="530" t="s">
        <v>2284</v>
      </c>
      <c r="H15" s="1052" t="s">
        <v>2285</v>
      </c>
      <c r="I15" s="1052"/>
      <c r="J15" s="1065"/>
      <c r="K15" s="147">
        <v>7</v>
      </c>
      <c r="L15" s="530" t="s">
        <v>2283</v>
      </c>
      <c r="M15" s="147">
        <v>3</v>
      </c>
      <c r="N15" s="530" t="s">
        <v>2284</v>
      </c>
      <c r="O15" s="530" t="s">
        <v>2286</v>
      </c>
      <c r="P15" s="204">
        <f>(K15*12+M15)-(D15*12+F15)+1</f>
        <v>6</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サービス提供体制強化加算Ⅰ、Ⅱ、Ⅲイまたはロを算定する。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t="s">
        <v>2271</v>
      </c>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R6.10～R7.3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
      </c>
      <c r="BB48" s="1016"/>
      <c r="BC48" s="1016"/>
      <c r="BD48" s="1016"/>
      <c r="BE48" s="1140" t="str">
        <f>AS48&amp;AW48&amp;BA48</f>
        <v>処遇加算Ⅰ特定加算Ⅱ</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f>IFERROR(ROUNDDOWN(ROUNDDOWN(ROUND(AM5*(VLOOKUP(Y5,【参考】数式用!$A$5:$AB$27,14,FALSE)),0)*P5,0)*AD53*0.5,0),"")</f>
        <v>680160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
      </c>
      <c r="AD56" s="1140"/>
      <c r="AE56" s="1140"/>
      <c r="AF56" s="1140"/>
      <c r="AG56" s="1140"/>
      <c r="AH56" s="1140"/>
      <c r="AI56" s="250"/>
      <c r="AJ56" s="249"/>
      <c r="AK56" s="1140" t="str">
        <f>IF(OR(F15=4,F15=5),"R6.6","R"&amp;D15&amp;"."&amp;F15)&amp;"～R"&amp;K15&amp;"."&amp;M15</f>
        <v>R6.10～R7.3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534">
        <f>IF(AND(F15&lt;&gt;4,F15&lt;&gt;5),0,IF(AU8="○",1,3))</f>
        <v>0</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534">
        <f>IF(AND(F15&lt;&gt;4,F15&lt;&gt;5),0,IF(AV8="○",1,3))</f>
        <v>0</v>
      </c>
      <c r="AI59" s="253"/>
      <c r="AJ59" s="249"/>
      <c r="AK59" s="1139" t="s">
        <v>2205</v>
      </c>
      <c r="AL59" s="1139"/>
      <c r="AM59" s="1139"/>
      <c r="AN59" s="1139"/>
      <c r="AO59" s="1139"/>
      <c r="AP59" s="170">
        <v>2</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534">
        <f>IF(AND(F15&lt;&gt;4,F15&lt;&gt;5),0,IF(AW8="○",1,3))</f>
        <v>0</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534">
        <f>IF(AND(F15&lt;&gt;4,F15&lt;&gt;5),0,IF(AX8="○",1,2))</f>
        <v>0</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534">
        <f>IF(AND(F15&lt;&gt;4,F15&lt;&gt;5),0,IF(AY8="○",1,2))</f>
        <v>0</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534">
        <f>IF(AND(F15&lt;&gt;4,F15&lt;&gt;5),0,IF(AZ8="○",1,2))</f>
        <v>0</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nDVoZhSDsCQFDpNo6vYhiN6GjatPsn0vJbJA22q/bFbIn2PdV7eUZDUB8DWoqDUoQCt1VZIK0YqqhGIx02o/Q==" saltValue="kGidHE3Dm804MuO1Vdj3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2424</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中央区</v>
      </c>
      <c r="AJ1" s="986"/>
      <c r="AK1" s="986"/>
      <c r="AL1" s="986"/>
      <c r="AM1" s="986"/>
      <c r="AN1" s="986"/>
      <c r="AO1" s="986"/>
      <c r="AP1" s="986"/>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1334567893</v>
      </c>
      <c r="C5" s="1123"/>
      <c r="D5" s="1123"/>
      <c r="E5" s="1123"/>
      <c r="F5" s="1123"/>
      <c r="G5" s="1124" t="s">
        <v>2433</v>
      </c>
      <c r="H5" s="1124"/>
      <c r="I5" s="1124"/>
      <c r="J5" s="1125" t="s">
        <v>5</v>
      </c>
      <c r="K5" s="1125"/>
      <c r="L5" s="1125"/>
      <c r="M5" s="1126" t="s">
        <v>1320</v>
      </c>
      <c r="N5" s="1126"/>
      <c r="O5" s="1126"/>
      <c r="P5" s="1127">
        <f>IF(Y5="","",IFERROR(INDEX(【参考】数式用3!$G$3:$I$451,MATCH(M5,【参考】数式用3!$F$3:$F$451,0),MATCH(VLOOKUP(Y5,【参考】数式用3!$J$2:$K$26,2,FALSE),【参考】数式用3!$G$2:$I$2,0)),10))</f>
        <v>11.1</v>
      </c>
      <c r="Q5" s="1128"/>
      <c r="R5" s="1128"/>
      <c r="S5" s="1129" t="s">
        <v>2434</v>
      </c>
      <c r="T5" s="1130"/>
      <c r="U5" s="1130"/>
      <c r="V5" s="1130"/>
      <c r="W5" s="1130"/>
      <c r="X5" s="1131"/>
      <c r="Y5" s="1145" t="s">
        <v>292</v>
      </c>
      <c r="Z5" s="1145"/>
      <c r="AA5" s="1145"/>
      <c r="AB5" s="1145"/>
      <c r="AC5" s="1145"/>
      <c r="AD5" s="1145"/>
      <c r="AE5" s="1151">
        <v>425000</v>
      </c>
      <c r="AF5" s="1152"/>
      <c r="AG5" s="1152"/>
      <c r="AH5" s="1153"/>
      <c r="AI5" s="1151">
        <v>80000</v>
      </c>
      <c r="AJ5" s="1152"/>
      <c r="AK5" s="1152"/>
      <c r="AL5" s="1153"/>
      <c r="AM5" s="1154">
        <f>AE5-AI5</f>
        <v>345000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新加算Ⅳ</v>
      </c>
      <c r="W8" s="1133"/>
      <c r="X8" s="1133"/>
      <c r="Y8" s="1133"/>
      <c r="Z8" s="1134"/>
      <c r="AA8" s="114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t="s">
        <v>268</v>
      </c>
      <c r="C9" s="1094"/>
      <c r="D9" s="1094"/>
      <c r="E9" s="1094"/>
      <c r="F9" s="1095"/>
      <c r="G9" s="1096" t="s">
        <v>13</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0.106</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4.1000000000000002E-2</v>
      </c>
      <c r="C10" s="1103"/>
      <c r="D10" s="1103"/>
      <c r="E10" s="1103"/>
      <c r="F10" s="1104"/>
      <c r="G10" s="1102">
        <f>IFERROR(VLOOKUP(Y5,【参考】数式用!$A$5:$J$27,MATCH(G9,【参考】数式用!$B$4:$J$4,0)+1,0),"")</f>
        <v>0</v>
      </c>
      <c r="H10" s="1103"/>
      <c r="I10" s="1103"/>
      <c r="J10" s="1103"/>
      <c r="K10" s="1104"/>
      <c r="L10" s="1102">
        <f>IFERROR(VLOOKUP(Y5,【参考】数式用!$A$5:$J$27,MATCH(L9,【参考】数式用!$B$4:$J$4,0)+1,0),"")</f>
        <v>0</v>
      </c>
      <c r="M10" s="1103"/>
      <c r="N10" s="1103"/>
      <c r="O10" s="1103"/>
      <c r="P10" s="1104"/>
      <c r="Q10" s="1017">
        <f>SUM(B10,G10,L10)</f>
        <v>4.1000000000000002E-2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新加算Ⅴ(11)</v>
      </c>
      <c r="W11" s="1122"/>
      <c r="X11" s="1122"/>
      <c r="Y11" s="1122"/>
      <c r="Z11" s="1122"/>
      <c r="AA11" s="114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8.8999999999999996E-2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新加算Ⅴ(14)</v>
      </c>
      <c r="W14" s="1122"/>
      <c r="X14" s="1122"/>
      <c r="Y14" s="1122"/>
      <c r="Z14" s="1122"/>
      <c r="AA14" s="1157"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5.6000000000000001E-2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処遇加算Ⅱ</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ベア加算</v>
      </c>
      <c r="BB48" s="1016"/>
      <c r="BC48" s="1016"/>
      <c r="BD48" s="1016"/>
      <c r="BE48" s="1140" t="str">
        <f>AS48&amp;AW48&amp;BA48</f>
        <v>処遇加算Ⅱ特定加算なしベア加算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処遇加算Ⅱ</v>
      </c>
      <c r="H49" s="1027"/>
      <c r="I49" s="1027"/>
      <c r="J49" s="1027"/>
      <c r="K49" s="1028"/>
      <c r="L49" s="1026" t="str">
        <f>IFERROR(IF(G9="","",IF(AND(AH61=1,AH62=1,AH63=1),"特定加算Ⅰ",IF(AND(AH61=1,AH62=2,AH63=1),"特定加算Ⅱ",IF(OR(AH61=2,AH62=2,AH63=2),"特定加算なし","")))),"")</f>
        <v>特定加算なし</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新加算Ⅳ</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f>IFERROR(VLOOKUP(Y5,【参考】数式用!$A$5:$J$27,MATCH(G49,【参考】数式用!$B$4:$J$4,0)+1,0),"")</f>
        <v>7.3999999999999996E-2</v>
      </c>
      <c r="H50" s="1084"/>
      <c r="I50" s="1084"/>
      <c r="J50" s="1084"/>
      <c r="K50" s="1085"/>
      <c r="L50" s="1083">
        <f>IFERROR(VLOOKUP(Y5,【参考】数式用!$A$5:$J$27,MATCH(L49,【参考】数式用!$B$4:$J$4,0)+1,0),"")</f>
        <v>0</v>
      </c>
      <c r="M50" s="1084"/>
      <c r="N50" s="1084"/>
      <c r="O50" s="1084"/>
      <c r="P50" s="1086"/>
      <c r="Q50" s="1087">
        <f>IFERROR(VLOOKUP(Y5,【参考】数式用!$A$5:$J$27,MATCH(Q49,【参考】数式用!$B$4:$J$4,0)+1,0),"")</f>
        <v>1.7000000000000001E-2</v>
      </c>
      <c r="R50" s="1084"/>
      <c r="S50" s="1084"/>
      <c r="T50" s="1084"/>
      <c r="U50" s="1086"/>
      <c r="V50" s="1017">
        <f>SUM(G50,L50,Q50)</f>
        <v>9.0999999999999998E-2</v>
      </c>
      <c r="W50" s="1018"/>
      <c r="X50" s="1018"/>
      <c r="Y50" s="1018"/>
      <c r="Z50" s="1018"/>
      <c r="AA50" s="1024"/>
      <c r="AB50" s="1024"/>
      <c r="AC50" s="1019">
        <f>IFERROR(VLOOKUP(Y5,【参考】数式用!$A$5:$AB$27,MATCH(AC49,【参考】数式用!$B$4:$AB$4,0)+1,FALSE),"")</f>
        <v>0.106</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f>IFERROR(ROUNDDOWN(ROUND(AM5*G50,0)*P5,0)*H53,"")</f>
        <v>566766</v>
      </c>
      <c r="H51" s="1011"/>
      <c r="I51" s="1011"/>
      <c r="J51" s="1011"/>
      <c r="K51" s="148" t="s">
        <v>2289</v>
      </c>
      <c r="L51" s="1066">
        <f>IFERROR(ROUNDDOWN(ROUND(AM5*L50,0)*P5,0)*H53,"")</f>
        <v>0</v>
      </c>
      <c r="M51" s="1011"/>
      <c r="N51" s="1011"/>
      <c r="O51" s="1011"/>
      <c r="P51" s="148" t="s">
        <v>2289</v>
      </c>
      <c r="Q51" s="1066">
        <f>IFERROR(ROUNDDOWN(ROUND(AM5*Q50,0)*P5,0)*H53,"")</f>
        <v>130202</v>
      </c>
      <c r="R51" s="1011"/>
      <c r="S51" s="1011"/>
      <c r="T51" s="1011"/>
      <c r="U51" s="149" t="s">
        <v>2289</v>
      </c>
      <c r="V51" s="1067">
        <f>IFERROR(SUM(G51,L51,Q51),"")</f>
        <v>696968</v>
      </c>
      <c r="W51" s="1068"/>
      <c r="X51" s="1068"/>
      <c r="Y51" s="1068"/>
      <c r="Z51" s="150" t="s">
        <v>2289</v>
      </c>
      <c r="AB51" s="151"/>
      <c r="AC51" s="1066">
        <f>IFERROR(ROUNDDOWN(ROUND(AM5*AC50,0)*P5,0)*AD53,"")</f>
        <v>4059270</v>
      </c>
      <c r="AD51" s="1011"/>
      <c r="AE51" s="1011"/>
      <c r="AF51" s="1011"/>
      <c r="AG51" s="1011"/>
      <c r="AH51" s="149" t="s">
        <v>2289</v>
      </c>
      <c r="AS51" s="1014">
        <f>IFERROR(ROUNDDOWN(ROUND(AM5*(G50-B10),0)*P5,0)*H53,"")</f>
        <v>252746</v>
      </c>
      <c r="AT51" s="1014"/>
      <c r="AU51" s="1014"/>
      <c r="AV51" s="1014"/>
      <c r="AW51" s="1014">
        <f>IFERROR(ROUNDDOWN(ROUND(AM5*(L50-G10),0)*P5,0)*H53,"")</f>
        <v>0</v>
      </c>
      <c r="AX51" s="1014"/>
      <c r="AY51" s="1014"/>
      <c r="AZ51" s="1014"/>
      <c r="BA51" s="1014">
        <f>IFERROR(ROUNDDOWN(ROUND(AM5*(Q50-L10),0)*P5,0)*H53,"")</f>
        <v>130202</v>
      </c>
      <c r="BB51" s="1014"/>
      <c r="BC51" s="1014"/>
      <c r="BD51" s="1014"/>
      <c r="BE51" s="1014">
        <f>IFERROR(ROUNDDOWN(ROUND(AM5*(AC50-Q10),0)*P5,0)*AD53,"")</f>
        <v>2489170</v>
      </c>
      <c r="BF51" s="1014"/>
      <c r="BG51" s="1014"/>
      <c r="BH51" s="1014"/>
      <c r="BI51" s="1014">
        <f>SUM(AS51:BH51)</f>
        <v>2872118</v>
      </c>
      <c r="BJ51" s="1014"/>
      <c r="BK51" s="1014"/>
      <c r="BL51" s="1014"/>
      <c r="BM51" s="241"/>
      <c r="BN51" s="1014">
        <f>IFERROR(ROUNDDOWN(ROUNDDOWN(ROUND(AM5*(VLOOKUP(Y5,【参考】数式用!$A$5:$AB$27,14,FALSE)),0)*P5,0)*AD53*0.5,0),"")</f>
        <v>2029635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(283,383円/月)</v>
      </c>
      <c r="H52" s="1013"/>
      <c r="I52" s="1013"/>
      <c r="J52" s="1013"/>
      <c r="K52" s="1013"/>
      <c r="L52" s="1013" t="str">
        <f>IFERROR("("&amp;TEXT(L51/H53,"#,##0円")&amp;"/月)","")</f>
        <v>(0円/月)</v>
      </c>
      <c r="M52" s="1013"/>
      <c r="N52" s="1013"/>
      <c r="O52" s="1013"/>
      <c r="P52" s="1013"/>
      <c r="Q52" s="1013" t="str">
        <f>IFERROR("("&amp;TEXT(Q51/H53,"#,##0円")&amp;"/月)","")</f>
        <v>(65,101円/月)</v>
      </c>
      <c r="R52" s="1013"/>
      <c r="S52" s="1013"/>
      <c r="T52" s="1013"/>
      <c r="U52" s="1013"/>
      <c r="V52" s="1013" t="str">
        <f>IFERROR("("&amp;TEXT(V51/H53,"#,##0円")&amp;"/月)","")</f>
        <v>(348,484円/月)</v>
      </c>
      <c r="W52" s="1013"/>
      <c r="X52" s="1013"/>
      <c r="Y52" s="1013"/>
      <c r="Z52" s="1013"/>
      <c r="AB52" s="151"/>
      <c r="AC52" s="1165" t="str">
        <f>IFERROR("("&amp;TEXT(AC51/AD53,"#,##0円")&amp;"/月)","")</f>
        <v>(405,927円/月)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f>IF(AND(B9&lt;&gt;"処遇加算なし",F15=4),IF(V21="✓",1,IF(V22="✓",2,"")),"")</f>
        <v>2</v>
      </c>
      <c r="AA57" s="245"/>
      <c r="AB57" s="249"/>
      <c r="AC57" s="1015" t="s">
        <v>2203</v>
      </c>
      <c r="AD57" s="1015"/>
      <c r="AE57" s="1015"/>
      <c r="AF57" s="1015"/>
      <c r="AG57" s="1015"/>
      <c r="AH57" s="170">
        <f>IF(AND(F15&lt;&gt;4,F15&lt;&gt;5),0,IF(AT8="○",1,0))</f>
        <v>1</v>
      </c>
      <c r="AI57" s="253"/>
      <c r="AJ57" s="249"/>
      <c r="AK57" s="1015" t="s">
        <v>2203</v>
      </c>
      <c r="AL57" s="1015"/>
      <c r="AM57" s="1015"/>
      <c r="AN57" s="1015"/>
      <c r="AO57" s="1015"/>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2204</v>
      </c>
      <c r="V58" s="1139"/>
      <c r="W58" s="1139"/>
      <c r="X58" s="1139"/>
      <c r="Y58" s="1139"/>
      <c r="Z58" s="527">
        <f>IF(AND(B9&lt;&gt;"処遇加算なし",F15=4),IF(V24="✓",1,IF(V25="✓",2,IF(V26="✓",3,""))),"")</f>
        <v>2</v>
      </c>
      <c r="AA58" s="245"/>
      <c r="AB58" s="249"/>
      <c r="AC58" s="1139" t="s">
        <v>2204</v>
      </c>
      <c r="AD58" s="1139"/>
      <c r="AE58" s="1139"/>
      <c r="AF58" s="1139"/>
      <c r="AG58" s="1139"/>
      <c r="AH58" s="170">
        <v>2</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2205</v>
      </c>
      <c r="V59" s="1139"/>
      <c r="W59" s="1139"/>
      <c r="X59" s="1139"/>
      <c r="Y59" s="1139"/>
      <c r="Z59" s="527">
        <f>IF(AND(B9&lt;&gt;"処遇加算なし",F15=4),IF(V28="✓",1,IF(V29="✓",2,IF(V30="✓",3,""))),"")</f>
        <v>2</v>
      </c>
      <c r="AA59" s="245"/>
      <c r="AB59" s="249"/>
      <c r="AC59" s="1139" t="s">
        <v>2205</v>
      </c>
      <c r="AD59" s="1139"/>
      <c r="AE59" s="1139"/>
      <c r="AF59" s="1139"/>
      <c r="AG59" s="1139"/>
      <c r="AH59" s="170">
        <v>1</v>
      </c>
      <c r="AI59" s="253"/>
      <c r="AJ59" s="249"/>
      <c r="AK59" s="1139" t="s">
        <v>2205</v>
      </c>
      <c r="AL59" s="1139"/>
      <c r="AM59" s="1139"/>
      <c r="AN59" s="1139"/>
      <c r="AO59" s="1139"/>
      <c r="AP59" s="170">
        <f>IF(AV8="○",1,3)</f>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2206</v>
      </c>
      <c r="V60" s="1139"/>
      <c r="W60" s="1139"/>
      <c r="X60" s="1139"/>
      <c r="Y60" s="1139"/>
      <c r="Z60" s="527">
        <f>IF(AND(B9&lt;&gt;"処遇加算なし",F15=4),IF(V32="✓",1,IF(V33="✓",2,"")),"")</f>
        <v>2</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2207</v>
      </c>
      <c r="V61" s="1139"/>
      <c r="W61" s="1139"/>
      <c r="X61" s="1139"/>
      <c r="Y61" s="1139"/>
      <c r="Z61" s="527">
        <f>IF(AND(B9&lt;&gt;"処遇加算なし",F15=4),IF(V36="✓",1,IF(V37="✓",2,"")),"")</f>
        <v>2</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2208</v>
      </c>
      <c r="V62" s="1139"/>
      <c r="W62" s="1139"/>
      <c r="X62" s="1139"/>
      <c r="Y62" s="1139"/>
      <c r="Z62" s="527">
        <f>IF(AND(B9&lt;&gt;"処遇加算なし",F15=4),IF(V40="✓",1,IF(V41="✓",2,"")),"")</f>
        <v>2</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2209</v>
      </c>
      <c r="V63" s="1015"/>
      <c r="W63" s="1015"/>
      <c r="X63" s="1015"/>
      <c r="Y63" s="1015"/>
      <c r="Z63" s="527">
        <f>IF(AND(B9&lt;&gt;"処遇加算なし",F15=4),IF(V44="✓",1,IF(V45="✓",2,"")),"")</f>
        <v>2</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HY1VGQToAHtMgWAt0YsBx3EClQ1IEF64brbi8zEeCJbI0W0JwObL1c+IDQxBrvRIBv51wUdNxSvemlvuupWiw==" saltValue="gPNB2kouWCopioyLP8lRk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2425</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2FikGLKH+cthsJY/JRbXKLodtCXZPxK9SDnAc4T7k0rX1lAh6k6094IWI1Lf2bJ0T+i1w3EtdVEMBAktA8ov9w==" saltValue="nqknpqTeHd7WczHQUnACU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2426</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pstXu+aGBoHXm18b7RVtR2diiupPqVlAJ1jADM2hRN0UtroCnOmFM6TbiXLjGS5v9kbF4Vz9oqkvwiN6vvKWw==" saltValue="oRRIg7e+0+49ulzmWYv25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2427</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OKJSNhnWsEYsciyfZhhdCJN9cSHoLL/n3LCLksa7jP9SPRF+GeLPQuvKA3T1frKW5Zyun23cUOu6FvBveb7Q==" saltValue="PijVX0yzjfem0ktuypEVv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2428</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TMCmzAvW4D6dqJuNSW0rcP3+sN5BYWC3dnCJ5Ynz4y1XbDVdg1zCMfGfQAoD+8S9JJF+nipe4m4ZlNlTTwQtbw==" saltValue="noHF8MX2KZRpaDQERh11k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2429</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hvO50XMJUPAaxP5LmEC8QNvu1tyok9vOjkoLMWipdpgmYJrGEwv0Ke89MZCp9VJAVtydQWWZQzbZNQ58eQ+Njw==" saltValue="MBDEwnoTCBfKYaZJAhjbI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2430</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8"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8" ht="15.95" customHeight="1">
      <c r="U57" s="1015" t="s">
        <v>2203</v>
      </c>
      <c r="V57" s="1015"/>
      <c r="W57" s="1015"/>
      <c r="X57" s="1015"/>
      <c r="Y57" s="1015"/>
      <c r="Z57" s="532"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2204</v>
      </c>
      <c r="V58" s="1139"/>
      <c r="W58" s="1139"/>
      <c r="X58" s="1139"/>
      <c r="Y58" s="1139"/>
      <c r="Z58" s="532"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2205</v>
      </c>
      <c r="V59" s="1139"/>
      <c r="W59" s="1139"/>
      <c r="X59" s="1139"/>
      <c r="Y59" s="1139"/>
      <c r="Z59" s="532"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2206</v>
      </c>
      <c r="V60" s="1139"/>
      <c r="W60" s="1139"/>
      <c r="X60" s="1139"/>
      <c r="Y60" s="1139"/>
      <c r="Z60" s="532"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2207</v>
      </c>
      <c r="V61" s="1139"/>
      <c r="W61" s="1139"/>
      <c r="X61" s="1139"/>
      <c r="Y61" s="1139"/>
      <c r="Z61" s="532"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2208</v>
      </c>
      <c r="V62" s="1139"/>
      <c r="W62" s="1139"/>
      <c r="X62" s="1139"/>
      <c r="Y62" s="1139"/>
      <c r="Z62" s="532"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2209</v>
      </c>
      <c r="V63" s="1015"/>
      <c r="W63" s="1015"/>
      <c r="X63" s="1015"/>
      <c r="Y63" s="1015"/>
      <c r="Z63" s="532"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x7DN+oq1yoqzfghcKKqc2Z17HTuS0zZgRDpBBZYIxdy/wiI017ehi8PupDf3eolw29oTOsG1MGb/o9G1nPnCQ==" saltValue="em5enoeBPnb3C+bi2sbodg=="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山本　昂平(E1726)</cp:lastModifiedBy>
  <cp:lastPrinted>2024-03-29T06:55:27Z</cp:lastPrinted>
  <dcterms:created xsi:type="dcterms:W3CDTF">2015-06-05T18:19:34Z</dcterms:created>
  <dcterms:modified xsi:type="dcterms:W3CDTF">2024-03-29T06:55:38Z</dcterms:modified>
</cp:coreProperties>
</file>